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20" windowHeight="8790" activeTab="0"/>
  </bookViews>
  <sheets>
    <sheet name="Input" sheetId="1" r:id="rId1"/>
    <sheet name="explanation" sheetId="2" r:id="rId2"/>
    <sheet name="math" sheetId="3" r:id="rId3"/>
  </sheets>
  <definedNames>
    <definedName name="_xlnm.Print_Area" localSheetId="1">'explanation'!$A$1:$C$23</definedName>
    <definedName name="_xlnm.Print_Area" localSheetId="0">'Input'!$A$1:$F$20</definedName>
    <definedName name="_xlnm.Print_Area" localSheetId="2">'math'!$A$1:$K$41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<sst xmlns="http://schemas.openxmlformats.org/spreadsheetml/2006/main" count="52" uniqueCount="37">
  <si>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Step 1  </t>
  </si>
  <si>
    <t>Successor-In-Interest</t>
  </si>
  <si>
    <t>Assignment</t>
  </si>
  <si>
    <t xml:space="preserve">Step 2  </t>
  </si>
  <si>
    <t xml:space="preserve">Step 3  </t>
  </si>
  <si>
    <t xml:space="preserve">Step 4  </t>
  </si>
  <si>
    <t xml:space="preserve">   What is the Discount Rate of the Offer?</t>
  </si>
  <si>
    <t xml:space="preserve">   How Many Cents on the Dollar is the Offer?</t>
  </si>
  <si>
    <t xml:space="preserve">   What is the Minimum Acceptable Lump-Sum Offer?</t>
  </si>
  <si>
    <t>www.fsa.usda.gov/tobacco/</t>
  </si>
  <si>
    <t>Click here to display instructions</t>
  </si>
  <si>
    <t>Payment</t>
  </si>
  <si>
    <t>Source of Payment</t>
  </si>
  <si>
    <t>Cash Flow</t>
  </si>
  <si>
    <t>Present Value of Cash Flow 
(Lump Sum Minimum)</t>
  </si>
  <si>
    <t xml:space="preserve">  Total     </t>
  </si>
  <si>
    <t>Payment Dates</t>
  </si>
  <si>
    <t>Present Value of Cash Flow 
(Lump Sum Offer)</t>
  </si>
  <si>
    <t>Lump Sum</t>
  </si>
  <si>
    <t>3rd Party</t>
  </si>
  <si>
    <t xml:space="preserve">  TOTAL   </t>
  </si>
  <si>
    <t xml:space="preserve">  Discount Rate of Offer</t>
  </si>
  <si>
    <t xml:space="preserve">  Is the Offer Acceptable?</t>
  </si>
  <si>
    <t xml:space="preserve">  Maximum Cash Discount   </t>
  </si>
  <si>
    <t xml:space="preserve">  Cash Discount</t>
  </si>
  <si>
    <t xml:space="preserve">  Maximum Discount Rate   </t>
  </si>
  <si>
    <t xml:space="preserve">  Advance Rate  (cents on the dollar)</t>
  </si>
  <si>
    <t xml:space="preserve">   How Many Years Remain for the Annual Payment?</t>
  </si>
  <si>
    <t xml:space="preserve">   Is the Offer Acceptable? </t>
  </si>
  <si>
    <t xml:space="preserve">   What is the Date of the Next CCC Payment?</t>
  </si>
  <si>
    <t xml:space="preserve">  Maximum Acceptable Discount Rate
  (prime + 2%, rounded to whole percentage)</t>
  </si>
  <si>
    <r>
      <t xml:space="preserve">  Enter the</t>
    </r>
    <r>
      <rPr>
        <b/>
        <sz val="16"/>
        <color indexed="17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PRIME RATE</t>
    </r>
  </si>
  <si>
    <r>
      <t xml:space="preserve">  Enter the</t>
    </r>
    <r>
      <rPr>
        <b/>
        <sz val="16"/>
        <color indexed="17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ANNUAL</t>
    </r>
    <r>
      <rPr>
        <b/>
        <sz val="16"/>
        <rFont val="Arial"/>
        <family val="2"/>
      </rPr>
      <t xml:space="preserve"> Tobacco Program Payment</t>
    </r>
  </si>
  <si>
    <r>
      <t xml:space="preserve">  Enter the </t>
    </r>
    <r>
      <rPr>
        <b/>
        <sz val="16"/>
        <color indexed="12"/>
        <rFont val="Arial"/>
        <family val="2"/>
      </rPr>
      <t>LUMP-SUM</t>
    </r>
    <r>
      <rPr>
        <b/>
        <sz val="16"/>
        <rFont val="Arial"/>
        <family val="2"/>
      </rPr>
      <t xml:space="preserve"> Offer</t>
    </r>
  </si>
  <si>
    <r>
      <t xml:space="preserve">  Enter the </t>
    </r>
    <r>
      <rPr>
        <b/>
        <sz val="16"/>
        <color indexed="12"/>
        <rFont val="Arial"/>
        <family val="2"/>
      </rPr>
      <t>DATE</t>
    </r>
    <r>
      <rPr>
        <b/>
        <sz val="16"/>
        <rFont val="Arial"/>
        <family val="2"/>
      </rPr>
      <t xml:space="preserve"> of the Lump-Sum Payment</t>
    </r>
  </si>
  <si>
    <t>TOBACCO LUMP-SUM CALCULATOR FOR 2 REMAINING PAYMENTS</t>
  </si>
  <si>
    <t>Version 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</si>
</sst>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[$-409]mmmm\ d\,\ yyyy;@"/>
    <numFmt numFmtId="166" formatCode="&quot;$&quot;#,##0.00"/>
    <numFmt numFmtId="167" formatCode="mmmm\ d&quot;, &quot;yyyy;@"/>
    <numFmt numFmtId="168" formatCode="[$$-409]#,##0.00;[Red]\-[$$-409]#,##0.00"/>
    <numFmt numFmtId="169" formatCode="mmm\-yy;@"/>
    <numFmt numFmtId="170" formatCode="[$$-409]#,##0.00;[Red][$$-409]#,##0.00"/>
    <numFmt numFmtId="171" formatCode="d\-mmm\-yy;@"/>
    <numFmt numFmtId="172" formatCode="&quot;$&quot;#,##0.000"/>
    <numFmt numFmtId="173" formatCode="&quot;$&quot;#,##0.0"/>
    <numFmt numFmtId="174" formatCode="&quot;$&quot;#,##0"/>
    <numFmt numFmtId="175" formatCode="&quot;$&quot;#,##0.0000"/>
    <numFmt numFmtId="176" formatCode="m/d"/>
    <numFmt numFmtId="177" formatCode="m/d/yy"/>
    <numFmt numFmtId="178" formatCode="mmmm\ d\,\ yyyy"/>
    <numFmt numFmtId="179" formatCode="[$-409]dddd\,\ mmmm\ dd\,\ yyyy"/>
  </numFmts>
  <fonts count="54">
    <font>
      <sz val="10"/>
      <name val="Arial"/>
      <family val="0"/>
    </font>
    <font>
      <b/>
      <sz val="16"/>
      <color indexed="9"/>
      <name val="Trebuchet MS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9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2"/>
      <name val="Trebuchet MS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2" fillId="34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10" fontId="6" fillId="0" borderId="17" xfId="59" applyNumberFormat="1" applyFont="1" applyFill="1" applyBorder="1" applyAlignment="1">
      <alignment horizontal="center"/>
    </xf>
    <xf numFmtId="10" fontId="6" fillId="0" borderId="18" xfId="59" applyNumberFormat="1" applyFont="1" applyFill="1" applyBorder="1" applyAlignment="1">
      <alignment horizontal="center"/>
    </xf>
    <xf numFmtId="166" fontId="6" fillId="0" borderId="17" xfId="44" applyNumberFormat="1" applyFont="1" applyFill="1" applyBorder="1" applyAlignment="1">
      <alignment horizontal="center"/>
    </xf>
    <xf numFmtId="166" fontId="6" fillId="0" borderId="18" xfId="44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10" fontId="8" fillId="35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7" borderId="29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167" fontId="7" fillId="0" borderId="3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168" fontId="7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168" fontId="7" fillId="0" borderId="36" xfId="42" applyNumberFormat="1" applyFont="1" applyFill="1" applyBorder="1" applyAlignment="1" applyProtection="1" quotePrefix="1">
      <alignment/>
      <protection/>
    </xf>
    <xf numFmtId="167" fontId="7" fillId="0" borderId="37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168" fontId="7" fillId="0" borderId="0" xfId="42" applyNumberFormat="1" applyFont="1" applyFill="1" applyBorder="1" applyAlignment="1" applyProtection="1" quotePrefix="1">
      <alignment/>
      <protection/>
    </xf>
    <xf numFmtId="168" fontId="7" fillId="0" borderId="18" xfId="42" applyNumberFormat="1" applyFont="1" applyFill="1" applyBorder="1" applyAlignment="1" applyProtection="1" quotePrefix="1">
      <alignment/>
      <protection/>
    </xf>
    <xf numFmtId="168" fontId="10" fillId="33" borderId="14" xfId="42" applyNumberFormat="1" applyFont="1" applyFill="1" applyBorder="1" applyAlignment="1" applyProtection="1" quotePrefix="1">
      <alignment/>
      <protection/>
    </xf>
    <xf numFmtId="168" fontId="7" fillId="0" borderId="0" xfId="42" applyNumberFormat="1" applyFont="1" applyFill="1" applyBorder="1" applyAlignment="1" applyProtection="1">
      <alignment/>
      <protection/>
    </xf>
    <xf numFmtId="168" fontId="7" fillId="0" borderId="18" xfId="42" applyNumberFormat="1" applyFont="1" applyFill="1" applyBorder="1" applyAlignment="1" applyProtection="1">
      <alignment/>
      <protection/>
    </xf>
    <xf numFmtId="168" fontId="7" fillId="0" borderId="38" xfId="0" applyNumberFormat="1" applyFont="1" applyBorder="1" applyAlignment="1">
      <alignment/>
    </xf>
    <xf numFmtId="168" fontId="7" fillId="0" borderId="38" xfId="42" applyNumberFormat="1" applyFont="1" applyFill="1" applyBorder="1" applyAlignment="1" applyProtection="1">
      <alignment/>
      <protection/>
    </xf>
    <xf numFmtId="167" fontId="7" fillId="0" borderId="39" xfId="0" applyNumberFormat="1" applyFont="1" applyBorder="1" applyAlignment="1">
      <alignment horizontal="center"/>
    </xf>
    <xf numFmtId="168" fontId="7" fillId="0" borderId="40" xfId="42" applyNumberFormat="1" applyFont="1" applyFill="1" applyBorder="1" applyAlignment="1" applyProtection="1">
      <alignment/>
      <protection/>
    </xf>
    <xf numFmtId="0" fontId="7" fillId="0" borderId="41" xfId="0" applyFont="1" applyBorder="1" applyAlignment="1">
      <alignment horizontal="left"/>
    </xf>
    <xf numFmtId="0" fontId="10" fillId="0" borderId="35" xfId="0" applyFont="1" applyBorder="1" applyAlignment="1">
      <alignment/>
    </xf>
    <xf numFmtId="0" fontId="0" fillId="0" borderId="42" xfId="0" applyFont="1" applyBorder="1" applyAlignment="1">
      <alignment/>
    </xf>
    <xf numFmtId="168" fontId="8" fillId="35" borderId="43" xfId="0" applyNumberFormat="1" applyFont="1" applyFill="1" applyBorder="1" applyAlignment="1">
      <alignment/>
    </xf>
    <xf numFmtId="168" fontId="8" fillId="35" borderId="44" xfId="0" applyNumberFormat="1" applyFont="1" applyFill="1" applyBorder="1" applyAlignment="1">
      <alignment/>
    </xf>
    <xf numFmtId="168" fontId="8" fillId="35" borderId="45" xfId="0" applyNumberFormat="1" applyFont="1" applyFill="1" applyBorder="1" applyAlignment="1">
      <alignment/>
    </xf>
    <xf numFmtId="168" fontId="8" fillId="35" borderId="46" xfId="0" applyNumberFormat="1" applyFont="1" applyFill="1" applyBorder="1" applyAlignment="1">
      <alignment/>
    </xf>
    <xf numFmtId="169" fontId="16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10" fontId="8" fillId="35" borderId="0" xfId="59" applyNumberFormat="1" applyFont="1" applyFill="1" applyBorder="1" applyAlignment="1" applyProtection="1">
      <alignment/>
      <protection/>
    </xf>
    <xf numFmtId="10" fontId="7" fillId="0" borderId="37" xfId="59" applyNumberFormat="1" applyFont="1" applyFill="1" applyBorder="1" applyAlignment="1" applyProtection="1">
      <alignment/>
      <protection/>
    </xf>
    <xf numFmtId="0" fontId="10" fillId="0" borderId="30" xfId="0" applyFont="1" applyFill="1" applyBorder="1" applyAlignment="1">
      <alignment/>
    </xf>
    <xf numFmtId="10" fontId="8" fillId="35" borderId="18" xfId="59" applyNumberFormat="1" applyFont="1" applyFill="1" applyBorder="1" applyAlignment="1" applyProtection="1">
      <alignment/>
      <protection/>
    </xf>
    <xf numFmtId="0" fontId="7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170" fontId="8" fillId="35" borderId="47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0" xfId="0" applyFont="1" applyBorder="1" applyAlignment="1">
      <alignment/>
    </xf>
    <xf numFmtId="170" fontId="8" fillId="35" borderId="46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8" xfId="0" applyFont="1" applyBorder="1" applyAlignment="1">
      <alignment/>
    </xf>
    <xf numFmtId="10" fontId="8" fillId="35" borderId="49" xfId="59" applyNumberFormat="1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48" xfId="0" applyFont="1" applyBorder="1" applyAlignment="1">
      <alignment/>
    </xf>
    <xf numFmtId="10" fontId="8" fillId="35" borderId="51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167" fontId="7" fillId="0" borderId="52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170" fontId="7" fillId="0" borderId="54" xfId="0" applyNumberFormat="1" applyFont="1" applyBorder="1" applyAlignment="1">
      <alignment/>
    </xf>
    <xf numFmtId="10" fontId="7" fillId="0" borderId="42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7" fontId="0" fillId="33" borderId="14" xfId="0" applyNumberFormat="1" applyFont="1" applyFill="1" applyBorder="1" applyAlignment="1">
      <alignment/>
    </xf>
    <xf numFmtId="167" fontId="7" fillId="0" borderId="55" xfId="0" applyNumberFormat="1" applyFont="1" applyBorder="1" applyAlignment="1">
      <alignment horizontal="center"/>
    </xf>
    <xf numFmtId="166" fontId="7" fillId="0" borderId="35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7" fillId="0" borderId="56" xfId="0" applyNumberFormat="1" applyFont="1" applyBorder="1" applyAlignment="1">
      <alignment horizontal="center"/>
    </xf>
    <xf numFmtId="166" fontId="7" fillId="0" borderId="38" xfId="0" applyNumberFormat="1" applyFont="1" applyBorder="1" applyAlignment="1">
      <alignment/>
    </xf>
    <xf numFmtId="171" fontId="7" fillId="0" borderId="52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168" fontId="8" fillId="35" borderId="57" xfId="0" applyNumberFormat="1" applyFont="1" applyFill="1" applyBorder="1" applyAlignment="1">
      <alignment/>
    </xf>
    <xf numFmtId="166" fontId="8" fillId="35" borderId="39" xfId="0" applyNumberFormat="1" applyFont="1" applyFill="1" applyBorder="1" applyAlignment="1">
      <alignment/>
    </xf>
    <xf numFmtId="166" fontId="8" fillId="35" borderId="40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right" wrapText="1"/>
    </xf>
    <xf numFmtId="0" fontId="0" fillId="0" borderId="42" xfId="0" applyFont="1" applyBorder="1" applyAlignment="1">
      <alignment/>
    </xf>
    <xf numFmtId="10" fontId="8" fillId="35" borderId="58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right" wrapText="1"/>
    </xf>
    <xf numFmtId="10" fontId="8" fillId="35" borderId="59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66" fontId="8" fillId="35" borderId="6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right" wrapText="1"/>
    </xf>
    <xf numFmtId="166" fontId="8" fillId="35" borderId="61" xfId="0" applyNumberFormat="1" applyFont="1" applyFill="1" applyBorder="1" applyAlignment="1">
      <alignment/>
    </xf>
    <xf numFmtId="171" fontId="7" fillId="34" borderId="23" xfId="0" applyNumberFormat="1" applyFont="1" applyFill="1" applyBorder="1" applyAlignment="1">
      <alignment horizontal="left" vertical="center"/>
    </xf>
    <xf numFmtId="171" fontId="7" fillId="34" borderId="0" xfId="0" applyNumberFormat="1" applyFont="1" applyFill="1" applyBorder="1" applyAlignment="1">
      <alignment horizontal="left" vertical="center"/>
    </xf>
    <xf numFmtId="10" fontId="8" fillId="35" borderId="35" xfId="0" applyNumberFormat="1" applyFont="1" applyFill="1" applyBorder="1" applyAlignment="1">
      <alignment/>
    </xf>
    <xf numFmtId="171" fontId="7" fillId="34" borderId="30" xfId="0" applyNumberFormat="1" applyFont="1" applyFill="1" applyBorder="1" applyAlignment="1">
      <alignment horizontal="center" wrapText="1"/>
    </xf>
    <xf numFmtId="10" fontId="8" fillId="35" borderId="36" xfId="0" applyNumberFormat="1" applyFont="1" applyFill="1" applyBorder="1" applyAlignment="1">
      <alignment/>
    </xf>
    <xf numFmtId="171" fontId="7" fillId="34" borderId="2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10" fontId="8" fillId="35" borderId="47" xfId="0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164" fontId="1" fillId="38" borderId="15" xfId="0" applyNumberFormat="1" applyFont="1" applyFill="1" applyBorder="1" applyAlignment="1" applyProtection="1">
      <alignment horizontal="center"/>
      <protection locked="0"/>
    </xf>
    <xf numFmtId="164" fontId="1" fillId="38" borderId="18" xfId="0" applyNumberFormat="1" applyFont="1" applyFill="1" applyBorder="1" applyAlignment="1" applyProtection="1">
      <alignment horizontal="center"/>
      <protection locked="0"/>
    </xf>
    <xf numFmtId="164" fontId="1" fillId="38" borderId="17" xfId="0" applyNumberFormat="1" applyFont="1" applyFill="1" applyBorder="1" applyAlignment="1" applyProtection="1">
      <alignment horizontal="center"/>
      <protection locked="0"/>
    </xf>
    <xf numFmtId="165" fontId="1" fillId="38" borderId="17" xfId="0" applyNumberFormat="1" applyFont="1" applyFill="1" applyBorder="1" applyAlignment="1" applyProtection="1">
      <alignment horizontal="center"/>
      <protection locked="0"/>
    </xf>
    <xf numFmtId="165" fontId="1" fillId="38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right"/>
    </xf>
    <xf numFmtId="0" fontId="0" fillId="33" borderId="62" xfId="0" applyFont="1" applyFill="1" applyBorder="1" applyAlignment="1">
      <alignment/>
    </xf>
    <xf numFmtId="0" fontId="7" fillId="0" borderId="41" xfId="0" applyFont="1" applyFill="1" applyBorder="1" applyAlignment="1">
      <alignment horizontal="left"/>
    </xf>
    <xf numFmtId="0" fontId="2" fillId="34" borderId="25" xfId="0" applyFont="1" applyFill="1" applyBorder="1" applyAlignment="1">
      <alignment/>
    </xf>
    <xf numFmtId="172" fontId="6" fillId="0" borderId="17" xfId="44" applyNumberFormat="1" applyFont="1" applyFill="1" applyBorder="1" applyAlignment="1">
      <alignment horizontal="center"/>
    </xf>
    <xf numFmtId="172" fontId="6" fillId="0" borderId="18" xfId="44" applyNumberFormat="1" applyFont="1" applyFill="1" applyBorder="1" applyAlignment="1">
      <alignment horizontal="center"/>
    </xf>
    <xf numFmtId="10" fontId="7" fillId="0" borderId="35" xfId="0" applyNumberFormat="1" applyFont="1" applyBorder="1" applyAlignment="1">
      <alignment/>
    </xf>
    <xf numFmtId="166" fontId="8" fillId="35" borderId="0" xfId="0" applyNumberFormat="1" applyFont="1" applyFill="1" applyBorder="1" applyAlignment="1">
      <alignment/>
    </xf>
    <xf numFmtId="10" fontId="8" fillId="35" borderId="0" xfId="0" applyNumberFormat="1" applyFont="1" applyFill="1" applyBorder="1" applyAlignment="1">
      <alignment/>
    </xf>
    <xf numFmtId="10" fontId="8" fillId="35" borderId="0" xfId="0" applyNumberFormat="1" applyFont="1" applyFill="1" applyBorder="1" applyAlignment="1">
      <alignment horizontal="right"/>
    </xf>
    <xf numFmtId="0" fontId="15" fillId="37" borderId="6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14" fillId="37" borderId="55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/>
    </xf>
    <xf numFmtId="0" fontId="0" fillId="0" borderId="16" xfId="0" applyBorder="1" applyAlignment="1">
      <alignment/>
    </xf>
    <xf numFmtId="165" fontId="6" fillId="0" borderId="15" xfId="0" applyNumberFormat="1" applyFont="1" applyFill="1" applyBorder="1" applyAlignment="1" applyProtection="1">
      <alignment horizontal="center"/>
      <protection/>
    </xf>
    <xf numFmtId="3" fontId="6" fillId="0" borderId="17" xfId="44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8" fillId="35" borderId="15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7" fillId="34" borderId="17" xfId="0" applyFont="1" applyFill="1" applyBorder="1" applyAlignment="1" applyProtection="1">
      <alignment horizontal="left" vertical="top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/>
      <protection hidden="1"/>
    </xf>
    <xf numFmtId="10" fontId="8" fillId="35" borderId="64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 readingOrder="1"/>
    </xf>
    <xf numFmtId="0" fontId="0" fillId="33" borderId="0" xfId="0" applyFill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0" fillId="33" borderId="65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justify"/>
    </xf>
    <xf numFmtId="0" fontId="1" fillId="35" borderId="22" xfId="0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0" fontId="4" fillId="38" borderId="66" xfId="59" applyNumberFormat="1" applyFont="1" applyFill="1" applyBorder="1" applyAlignment="1" applyProtection="1">
      <alignment horizontal="center"/>
      <protection locked="0"/>
    </xf>
    <xf numFmtId="10" fontId="4" fillId="38" borderId="16" xfId="59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7" fillId="34" borderId="17" xfId="0" applyFont="1" applyFill="1" applyBorder="1" applyAlignment="1" applyProtection="1">
      <alignment horizontal="left" vertical="top" wrapText="1"/>
      <protection hidden="1"/>
    </xf>
    <xf numFmtId="0" fontId="7" fillId="34" borderId="64" xfId="0" applyFont="1" applyFill="1" applyBorder="1" applyAlignment="1" applyProtection="1">
      <alignment horizontal="left" vertical="top" wrapText="1"/>
      <protection hidden="1"/>
    </xf>
    <xf numFmtId="0" fontId="7" fillId="34" borderId="15" xfId="0" applyFont="1" applyFill="1" applyBorder="1" applyAlignment="1" applyProtection="1" quotePrefix="1">
      <alignment horizontal="left" vertical="top" wrapText="1"/>
      <protection hidden="1"/>
    </xf>
    <xf numFmtId="0" fontId="7" fillId="34" borderId="17" xfId="0" applyFont="1" applyFill="1" applyBorder="1" applyAlignment="1" applyProtection="1" quotePrefix="1">
      <alignment horizontal="left" vertical="top" wrapText="1"/>
      <protection hidden="1"/>
    </xf>
    <xf numFmtId="0" fontId="7" fillId="34" borderId="64" xfId="0" applyFont="1" applyFill="1" applyBorder="1" applyAlignment="1" applyProtection="1" quotePrefix="1">
      <alignment horizontal="left" vertical="top" wrapText="1"/>
      <protection hidden="1"/>
    </xf>
    <xf numFmtId="9" fontId="13" fillId="35" borderId="22" xfId="59" applyFont="1" applyFill="1" applyBorder="1" applyAlignment="1">
      <alignment horizontal="center"/>
    </xf>
    <xf numFmtId="9" fontId="13" fillId="35" borderId="66" xfId="59" applyFont="1" applyFill="1" applyBorder="1" applyAlignment="1">
      <alignment horizontal="center"/>
    </xf>
    <xf numFmtId="9" fontId="13" fillId="35" borderId="16" xfId="59" applyFont="1" applyFill="1" applyBorder="1" applyAlignment="1">
      <alignment horizontal="center"/>
    </xf>
    <xf numFmtId="9" fontId="13" fillId="35" borderId="67" xfId="59" applyFont="1" applyFill="1" applyBorder="1" applyAlignment="1">
      <alignment horizontal="center"/>
    </xf>
    <xf numFmtId="9" fontId="13" fillId="35" borderId="68" xfId="59" applyFont="1" applyFill="1" applyBorder="1" applyAlignment="1">
      <alignment horizontal="center"/>
    </xf>
    <xf numFmtId="9" fontId="13" fillId="35" borderId="69" xfId="59" applyFont="1" applyFill="1" applyBorder="1" applyAlignment="1">
      <alignment horizontal="center"/>
    </xf>
    <xf numFmtId="0" fontId="7" fillId="37" borderId="70" xfId="0" applyFont="1" applyFill="1" applyBorder="1" applyAlignment="1">
      <alignment horizontal="center" wrapText="1"/>
    </xf>
    <xf numFmtId="0" fontId="7" fillId="37" borderId="47" xfId="0" applyFont="1" applyFill="1" applyBorder="1" applyAlignment="1">
      <alignment horizontal="center" wrapText="1"/>
    </xf>
    <xf numFmtId="0" fontId="7" fillId="37" borderId="45" xfId="0" applyFont="1" applyFill="1" applyBorder="1" applyAlignment="1">
      <alignment horizontal="center" wrapText="1"/>
    </xf>
    <xf numFmtId="0" fontId="17" fillId="37" borderId="70" xfId="0" applyFont="1" applyFill="1" applyBorder="1" applyAlignment="1">
      <alignment horizontal="center" wrapText="1"/>
    </xf>
    <xf numFmtId="0" fontId="17" fillId="37" borderId="47" xfId="0" applyFont="1" applyFill="1" applyBorder="1" applyAlignment="1">
      <alignment horizontal="center" wrapText="1"/>
    </xf>
    <xf numFmtId="0" fontId="17" fillId="37" borderId="45" xfId="0" applyFont="1" applyFill="1" applyBorder="1" applyAlignment="1">
      <alignment horizontal="center" wrapText="1"/>
    </xf>
    <xf numFmtId="0" fontId="7" fillId="37" borderId="70" xfId="0" applyFont="1" applyFill="1" applyBorder="1" applyAlignment="1">
      <alignment horizontal="center"/>
    </xf>
    <xf numFmtId="0" fontId="7" fillId="37" borderId="47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RowColHeaders="0" tabSelected="1" zoomScale="70" zoomScaleNormal="70" zoomScalePageLayoutView="0" workbookViewId="0" topLeftCell="A1">
      <selection activeCell="D3" sqref="D3:E3"/>
    </sheetView>
  </sheetViews>
  <sheetFormatPr defaultColWidth="9.140625" defaultRowHeight="12.75"/>
  <cols>
    <col min="1" max="1" width="3.57421875" style="0" customWidth="1"/>
    <col min="2" max="2" width="13.57421875" style="0" customWidth="1"/>
    <col min="3" max="3" width="69.421875" style="0" customWidth="1"/>
    <col min="4" max="4" width="33.57421875" style="0" bestFit="1" customWidth="1"/>
    <col min="5" max="5" width="35.421875" style="0" bestFit="1" customWidth="1"/>
    <col min="6" max="6" width="4.140625" style="0" customWidth="1"/>
    <col min="9" max="9" width="27.140625" style="0" customWidth="1"/>
  </cols>
  <sheetData>
    <row r="1" spans="1:9" ht="13.5" customHeight="1" thickBot="1">
      <c r="A1" s="123"/>
      <c r="B1" s="124"/>
      <c r="C1" s="124"/>
      <c r="D1" s="124"/>
      <c r="E1" s="124"/>
      <c r="F1" s="125"/>
      <c r="G1" s="161"/>
      <c r="H1" s="161"/>
      <c r="I1" s="161"/>
    </row>
    <row r="2" spans="1:9" ht="21.75" thickBot="1">
      <c r="A2" s="126"/>
      <c r="B2" s="167" t="s">
        <v>35</v>
      </c>
      <c r="C2" s="168"/>
      <c r="D2" s="168"/>
      <c r="E2" s="169"/>
      <c r="F2" s="127"/>
      <c r="G2" s="161"/>
      <c r="H2" s="161"/>
      <c r="I2" s="162"/>
    </row>
    <row r="3" spans="1:9" ht="21">
      <c r="A3" s="126"/>
      <c r="B3" s="6" t="s">
        <v>0</v>
      </c>
      <c r="C3" s="7" t="s">
        <v>31</v>
      </c>
      <c r="D3" s="170">
        <v>0.03</v>
      </c>
      <c r="E3" s="171"/>
      <c r="F3" s="127"/>
      <c r="G3" s="161"/>
      <c r="H3" s="161"/>
      <c r="I3" s="162"/>
    </row>
    <row r="4" spans="1:9" ht="42" thickBot="1">
      <c r="A4" s="126"/>
      <c r="B4" s="8"/>
      <c r="C4" s="160" t="s">
        <v>30</v>
      </c>
      <c r="D4" s="172">
        <f>ROUND(Input!D3+2%,2)</f>
        <v>0.05</v>
      </c>
      <c r="E4" s="173"/>
      <c r="F4" s="127"/>
      <c r="G4" s="161"/>
      <c r="H4" s="161"/>
      <c r="I4" s="162"/>
    </row>
    <row r="5" spans="1:9" ht="21.75" thickBot="1">
      <c r="A5" s="126"/>
      <c r="B5" s="10"/>
      <c r="C5" s="11"/>
      <c r="D5" s="12" t="s">
        <v>1</v>
      </c>
      <c r="E5" s="13" t="s">
        <v>2</v>
      </c>
      <c r="F5" s="127"/>
      <c r="G5" s="161"/>
      <c r="H5" s="161"/>
      <c r="I5" s="162"/>
    </row>
    <row r="6" spans="1:9" ht="21">
      <c r="A6" s="126"/>
      <c r="B6" s="8" t="s">
        <v>3</v>
      </c>
      <c r="C6" s="9" t="s">
        <v>32</v>
      </c>
      <c r="D6" s="118">
        <v>1000</v>
      </c>
      <c r="E6" s="118">
        <v>1000</v>
      </c>
      <c r="F6" s="127"/>
      <c r="G6" s="161"/>
      <c r="H6" s="161"/>
      <c r="I6" s="162"/>
    </row>
    <row r="7" spans="1:9" ht="21">
      <c r="A7" s="126"/>
      <c r="B7" s="8" t="s">
        <v>4</v>
      </c>
      <c r="C7" s="9" t="s">
        <v>33</v>
      </c>
      <c r="D7" s="120">
        <v>1860</v>
      </c>
      <c r="E7" s="119">
        <v>1860</v>
      </c>
      <c r="F7" s="127"/>
      <c r="G7" s="161"/>
      <c r="H7" s="161"/>
      <c r="I7" s="162"/>
    </row>
    <row r="8" spans="1:9" ht="21.75" thickBot="1">
      <c r="A8" s="126"/>
      <c r="B8" s="8" t="s">
        <v>5</v>
      </c>
      <c r="C8" s="9" t="s">
        <v>34</v>
      </c>
      <c r="D8" s="121">
        <v>40925</v>
      </c>
      <c r="E8" s="122">
        <v>40925</v>
      </c>
      <c r="F8" s="127"/>
      <c r="G8" s="161"/>
      <c r="H8" s="161"/>
      <c r="I8" s="161"/>
    </row>
    <row r="9" spans="1:9" ht="21" customHeight="1" thickBot="1">
      <c r="A9" s="126"/>
      <c r="B9" s="167"/>
      <c r="C9" s="168"/>
      <c r="D9" s="174"/>
      <c r="E9" s="175"/>
      <c r="F9" s="127"/>
      <c r="G9" s="161"/>
      <c r="H9" s="161"/>
      <c r="I9" s="163"/>
    </row>
    <row r="10" spans="1:9" ht="21">
      <c r="A10" s="126"/>
      <c r="B10" s="14" t="s">
        <v>29</v>
      </c>
      <c r="C10" s="145"/>
      <c r="D10" s="146">
        <v>41289</v>
      </c>
      <c r="E10" s="146">
        <v>41289</v>
      </c>
      <c r="F10" s="127"/>
      <c r="G10" s="161"/>
      <c r="H10" s="161"/>
      <c r="I10" s="161"/>
    </row>
    <row r="11" spans="1:9" ht="21">
      <c r="A11" s="126"/>
      <c r="B11" s="15" t="s">
        <v>27</v>
      </c>
      <c r="C11" s="16"/>
      <c r="D11" s="147">
        <v>2</v>
      </c>
      <c r="E11" s="147">
        <v>2</v>
      </c>
      <c r="F11" s="127"/>
      <c r="G11" s="161"/>
      <c r="H11" s="161"/>
      <c r="I11" s="161"/>
    </row>
    <row r="12" spans="1:9" ht="21">
      <c r="A12" s="126"/>
      <c r="B12" s="15" t="s">
        <v>6</v>
      </c>
      <c r="C12" s="16"/>
      <c r="D12" s="17">
        <f>+math!F38</f>
        <v>0.04987037301063538</v>
      </c>
      <c r="E12" s="18">
        <f>+math!J38</f>
        <v>0.04987037301063538</v>
      </c>
      <c r="F12" s="127"/>
      <c r="G12" s="161"/>
      <c r="H12" s="161"/>
      <c r="I12" s="161"/>
    </row>
    <row r="13" spans="1:9" ht="21">
      <c r="A13" s="126"/>
      <c r="B13" s="15" t="s">
        <v>7</v>
      </c>
      <c r="C13" s="16"/>
      <c r="D13" s="134">
        <f>+math!F36</f>
        <v>0.9299999996592495</v>
      </c>
      <c r="E13" s="135">
        <f>+math!J36</f>
        <v>0.9299999996592495</v>
      </c>
      <c r="F13" s="127"/>
      <c r="G13" s="161"/>
      <c r="H13" s="161"/>
      <c r="I13" s="161"/>
    </row>
    <row r="14" spans="1:9" ht="21">
      <c r="A14" s="126"/>
      <c r="B14" s="15" t="s">
        <v>8</v>
      </c>
      <c r="C14" s="16"/>
      <c r="D14" s="19">
        <f>ROUNDUP(+math!F16,2)</f>
        <v>1859.66</v>
      </c>
      <c r="E14" s="20">
        <f>ROUNDUP(+math!J16,2)</f>
        <v>1859.66</v>
      </c>
      <c r="F14" s="127"/>
      <c r="G14" s="161"/>
      <c r="H14" s="161"/>
      <c r="I14" s="161"/>
    </row>
    <row r="15" spans="1:9" ht="21" thickBot="1">
      <c r="A15" s="126"/>
      <c r="B15" s="133" t="s">
        <v>28</v>
      </c>
      <c r="C15" s="21"/>
      <c r="D15" s="22" t="str">
        <f>+math!F39</f>
        <v>YES </v>
      </c>
      <c r="E15" s="159" t="str">
        <f>+math!J39</f>
        <v>YES </v>
      </c>
      <c r="F15" s="127"/>
      <c r="G15" s="161"/>
      <c r="H15" s="161"/>
      <c r="I15" s="161"/>
    </row>
    <row r="16" spans="1:9" ht="20.25">
      <c r="A16" s="128"/>
      <c r="B16" s="144" t="s">
        <v>36</v>
      </c>
      <c r="C16" s="129"/>
      <c r="D16" s="129"/>
      <c r="E16" s="130" t="s">
        <v>9</v>
      </c>
      <c r="F16" s="131"/>
      <c r="G16" s="161"/>
      <c r="H16" s="161"/>
      <c r="I16" s="161"/>
    </row>
    <row r="17" spans="1:9" ht="13.5" thickBot="1">
      <c r="A17" s="164"/>
      <c r="B17" s="164"/>
      <c r="C17" s="164"/>
      <c r="D17" s="164"/>
      <c r="E17" s="161"/>
      <c r="F17" s="164"/>
      <c r="G17" s="161"/>
      <c r="H17" s="161"/>
      <c r="I17" s="161"/>
    </row>
    <row r="18" spans="1:9" ht="16.5" thickBot="1" thickTop="1">
      <c r="A18" s="164"/>
      <c r="B18" s="164"/>
      <c r="C18" s="165" t="s">
        <v>10</v>
      </c>
      <c r="D18" s="164"/>
      <c r="E18" s="164"/>
      <c r="F18" s="164"/>
      <c r="G18" s="161"/>
      <c r="H18" s="161"/>
      <c r="I18" s="161"/>
    </row>
    <row r="19" spans="1:9" ht="13.5" thickTop="1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ht="12.75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ht="12.75">
      <c r="A21" s="161"/>
      <c r="B21" s="161"/>
      <c r="C21" s="161"/>
      <c r="D21" s="166"/>
      <c r="E21" s="161"/>
      <c r="F21" s="161"/>
      <c r="G21" s="161"/>
      <c r="H21" s="161"/>
      <c r="I21" s="161"/>
    </row>
    <row r="22" spans="1:9" ht="12.75">
      <c r="A22" s="161"/>
      <c r="B22" s="161"/>
      <c r="C22" s="161"/>
      <c r="D22" s="161"/>
      <c r="E22" s="161"/>
      <c r="F22" s="161"/>
      <c r="G22" s="161"/>
      <c r="H22" s="161"/>
      <c r="I22" s="161"/>
    </row>
    <row r="23" spans="1:9" ht="12.75">
      <c r="A23" s="161"/>
      <c r="B23" s="161"/>
      <c r="C23" s="161"/>
      <c r="D23" s="161"/>
      <c r="E23" s="161"/>
      <c r="F23" s="161"/>
      <c r="G23" s="161"/>
      <c r="H23" s="161"/>
      <c r="I23" s="161"/>
    </row>
    <row r="24" spans="1:9" ht="12.75">
      <c r="A24" s="161"/>
      <c r="B24" s="161"/>
      <c r="C24" s="161"/>
      <c r="D24" s="161"/>
      <c r="E24" s="161"/>
      <c r="F24" s="161"/>
      <c r="G24" s="161"/>
      <c r="H24" s="161"/>
      <c r="I24" s="161"/>
    </row>
    <row r="25" spans="1:9" ht="12.75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 ht="12.75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 ht="12.75">
      <c r="A27" s="161"/>
      <c r="B27" s="161"/>
      <c r="C27" s="161"/>
      <c r="D27" s="161"/>
      <c r="E27" s="161"/>
      <c r="F27" s="161"/>
      <c r="G27" s="161"/>
      <c r="H27" s="161"/>
      <c r="I27" s="161"/>
    </row>
    <row r="28" spans="1:9" ht="12.75">
      <c r="A28" s="161"/>
      <c r="B28" s="161"/>
      <c r="C28" s="161"/>
      <c r="D28" s="161"/>
      <c r="E28" s="161"/>
      <c r="F28" s="161"/>
      <c r="G28" s="161"/>
      <c r="H28" s="161"/>
      <c r="I28" s="161"/>
    </row>
    <row r="29" spans="1:9" ht="12.75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 ht="12.75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 ht="12.75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 ht="12.75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 ht="12.75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 ht="12.75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ht="12.7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ht="12.7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ht="12.75">
      <c r="A37" s="161"/>
      <c r="B37" s="161"/>
      <c r="C37" s="161"/>
      <c r="D37" s="161"/>
      <c r="E37" s="161"/>
      <c r="F37" s="161"/>
      <c r="G37" s="161"/>
      <c r="H37" s="161"/>
      <c r="I37" s="161"/>
    </row>
  </sheetData>
  <sheetProtection password="CBF7" sheet="1" selectLockedCells="1"/>
  <mergeCells count="4">
    <mergeCell ref="B2:E2"/>
    <mergeCell ref="D3:E3"/>
    <mergeCell ref="D4:E4"/>
    <mergeCell ref="B9:E9"/>
  </mergeCells>
  <conditionalFormatting sqref="D11:E14">
    <cfRule type="cellIs" priority="1" dxfId="4" operator="equal" stopIfTrue="1">
      <formula>"NO "</formula>
    </cfRule>
  </conditionalFormatting>
  <conditionalFormatting sqref="D15:E15">
    <cfRule type="cellIs" priority="2" dxfId="1" operator="equal" stopIfTrue="1">
      <formula>"YES "</formula>
    </cfRule>
    <cfRule type="cellIs" priority="3" dxfId="0" operator="equal" stopIfTrue="1">
      <formula>"NO "</formula>
    </cfRule>
  </conditionalFormatting>
  <dataValidations count="10">
    <dataValidation allowBlank="1" showInputMessage="1" showErrorMessage="1" promptTitle="Enter data in blue cells." prompt="If you receive an error message you may need to install the Analysis ToolPack. On the &quot;Tools&quot; menu click &quot;Add-ins&quot; and select &quot;Analysis ToolPack&quot;. &#10;&#10;Check www.fsa.usda.gov/tobacco for updates to the worksheet&#10;Questions?: brad.karmen@wdc.usda.gov" errorTitle="Instructions" sqref="C18"/>
    <dataValidation allowBlank="1" showInputMessage="1" showErrorMessage="1" prompt="Check for updates on the web" sqref="E16"/>
    <dataValidation allowBlank="1" showInputMessage="1" showErrorMessage="1" prompt="Is the lump sum offer greater than the minimum?" sqref="D15:E15"/>
    <dataValidation type="date" allowBlank="1" showInputMessage="1" showErrorMessage="1" promptTitle="Enter date" prompt="lump sum will be received&#10;&#10;MM/DD/YY" errorTitle="ERROR" error="Date must be after 1/16/2012 and before 11/2/2012" sqref="D8">
      <formula1>40925</formula1>
      <formula2>41214</formula2>
    </dataValidation>
    <dataValidation type="decimal" allowBlank="1" showInputMessage="1" showErrorMessage="1" promptTitle="Enter prime rate" prompt="&#10;X.XX&#10;&#10;Maximum Discount Rate is rounded to nearest whole number." errorTitle="Error" error="Invalid format, press ESC and try again." sqref="D3:E3">
      <formula1>0</formula1>
      <formula2>0.15</formula2>
    </dataValidation>
    <dataValidation type="decimal" operator="greaterThan" allowBlank="1" showInputMessage="1" showErrorMessage="1" promptTitle="Enter annual payment" prompt="&#10;(not the 10-year payment)" errorTitle="Error" error="Must be dollar amount greater than $0.00." sqref="D6:E6">
      <formula1>0</formula1>
    </dataValidation>
    <dataValidation type="decimal" operator="greaterThan" allowBlank="1" showInputMessage="1" showErrorMessage="1" promptTitle="Enter LUMP-SUM offer" prompt="&#10;(not the annual payment)" errorTitle="Error" error="Must be dollar amount greater than $0.00." sqref="E7">
      <formula1>0</formula1>
    </dataValidation>
    <dataValidation allowBlank="1" sqref="I2:I7 D10:E10"/>
    <dataValidation type="decimal" operator="greaterThan" allowBlank="1" showInputMessage="1" showErrorMessage="1" promptTitle="Enter LUMP-SUM offer" prompt="&#10;(not the annual payment)" errorTitle="Error" error="Must be dollar amount greater than $0.00." sqref="D7">
      <formula1>0</formula1>
    </dataValidation>
    <dataValidation type="date" allowBlank="1" showInputMessage="1" showErrorMessage="1" promptTitle="Enter date" prompt="lump sum will be received&#10;&#10;MM/DD/YY" errorTitle="ERROR" error="Date must be after 1/16/12 and before 11/2/2012" sqref="E8">
      <formula1>40925</formula1>
      <formula2>41214</formula2>
    </dataValidation>
  </dataValidations>
  <printOptions/>
  <pageMargins left="0.55" right="0.59" top="1" bottom="1" header="0.5" footer="0.5"/>
  <pageSetup fitToHeight="1" fitToWidth="1" horizontalDpi="600" verticalDpi="600" orientation="landscape" scale="80" r:id="rId1"/>
  <headerFooter alignWithMargins="0">
    <oddFooter>&amp;LUSDA/Farm Service Agency&amp;Cpage &amp;P of &amp;N&amp;RVersion 8 (January 12, 2011)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RowColHeaders="0" zoomScalePageLayoutView="0" workbookViewId="0" topLeftCell="A1">
      <selection activeCell="B17" sqref="B17:B18"/>
    </sheetView>
  </sheetViews>
  <sheetFormatPr defaultColWidth="9.140625" defaultRowHeight="12.75"/>
  <cols>
    <col min="2" max="2" width="86.28125" style="0" customWidth="1"/>
  </cols>
  <sheetData>
    <row r="1" spans="1:9" ht="14.25" thickBot="1" thickTop="1">
      <c r="A1" s="148"/>
      <c r="B1" s="149"/>
      <c r="C1" s="150"/>
      <c r="D1" s="161"/>
      <c r="E1" s="161"/>
      <c r="F1" s="161"/>
      <c r="G1" s="161"/>
      <c r="H1" s="161"/>
      <c r="I1" s="161"/>
    </row>
    <row r="2" spans="1:9" ht="16.5" thickBot="1">
      <c r="A2" s="151"/>
      <c r="B2" s="152" t="s">
        <v>1</v>
      </c>
      <c r="C2" s="153"/>
      <c r="D2" s="161"/>
      <c r="E2" s="161"/>
      <c r="F2" s="161"/>
      <c r="G2" s="161"/>
      <c r="H2" s="161"/>
      <c r="I2" s="161"/>
    </row>
    <row r="3" spans="1:9" ht="12.75">
      <c r="A3" s="151"/>
      <c r="B3" s="178" t="str">
        <f>"     The "&amp;DOLLAR(Input!D7,2)&amp;" lump-sum offer"&amp;IF(math!F39="NO "," is not "," is ")&amp;"acceptable because the lump-sum offer "&amp;IF(math!F39="NO "," is less than ","is equal to or greater than ")&amp;"the "&amp;DOLLAR(ROUNDUP(math!F16,2),2)&amp;" minimum acceptable lump-sum payment."</f>
        <v>     The $1,860.00 lump-sum offer is acceptable because the lump-sum offer is equal to or greater than the $1,859.66 minimum acceptable lump-sum payment.</v>
      </c>
      <c r="C3" s="153"/>
      <c r="D3" s="161"/>
      <c r="E3" s="161"/>
      <c r="F3" s="161"/>
      <c r="G3" s="161"/>
      <c r="H3" s="161"/>
      <c r="I3" s="161"/>
    </row>
    <row r="4" spans="1:9" ht="17.25" customHeight="1">
      <c r="A4" s="151"/>
      <c r="B4" s="176"/>
      <c r="C4" s="153"/>
      <c r="D4" s="161"/>
      <c r="E4" s="161"/>
      <c r="F4" s="161"/>
      <c r="G4" s="161"/>
      <c r="H4" s="161"/>
      <c r="I4" s="161"/>
    </row>
    <row r="5" spans="1:9" ht="4.5" customHeight="1">
      <c r="A5" s="151"/>
      <c r="B5" s="154"/>
      <c r="C5" s="153"/>
      <c r="D5" s="161"/>
      <c r="E5" s="161"/>
      <c r="F5" s="161"/>
      <c r="G5" s="161"/>
      <c r="H5" s="161"/>
      <c r="I5" s="161"/>
    </row>
    <row r="6" spans="1:9" ht="12.75">
      <c r="A6" s="151"/>
      <c r="B6" s="176" t="str">
        <f>"     The "&amp;DOLLAR(Input!D7,2)&amp;" lump-sum offer is "&amp;ROUND(math!F36*100,2)&amp;" percent of the remaining "&amp;DOLLAR(math!E35,2)&amp;" annual payment stream, a cash discount of "&amp;DOLLAR(math!F37,2)&amp;",  "&amp;"or "&amp;ROUND(math!F38*100,2)&amp;" percent."</f>
        <v>     The $1,860.00 lump-sum offer is 93 percent of the remaining $2,000.00 annual payment stream, a cash discount of $140.00,  or 4.99 percent.</v>
      </c>
      <c r="C6" s="153"/>
      <c r="D6" s="161"/>
      <c r="E6" s="161"/>
      <c r="F6" s="161"/>
      <c r="G6" s="161"/>
      <c r="H6" s="161"/>
      <c r="I6" s="161"/>
    </row>
    <row r="7" spans="1:9" ht="18.75" customHeight="1">
      <c r="A7" s="151"/>
      <c r="B7" s="176"/>
      <c r="C7" s="153"/>
      <c r="D7" s="161"/>
      <c r="E7" s="161"/>
      <c r="F7" s="161"/>
      <c r="G7" s="161"/>
      <c r="H7" s="161"/>
      <c r="I7" s="161"/>
    </row>
    <row r="8" spans="1:9" ht="3.75" customHeight="1">
      <c r="A8" s="151"/>
      <c r="B8" s="154"/>
      <c r="C8" s="153"/>
      <c r="D8" s="161"/>
      <c r="E8" s="161"/>
      <c r="F8" s="161"/>
      <c r="G8" s="161"/>
      <c r="H8" s="161"/>
      <c r="I8" s="161"/>
    </row>
    <row r="9" spans="1:9" ht="12.75">
      <c r="A9" s="151"/>
      <c r="B9" s="179" t="str">
        <f>"     The "&amp;DOLLAR(ROUNDUP(math!F16,2),2)&amp;" minimum acceptable lump-sum payment is "&amp;ROUND(math!F17*100,2)&amp;" percent of the remaining "&amp;DOLLAR(math!E16,2)&amp;" annual payment stream, a discount of "&amp;DOLLAR(math!F18,2)&amp;", assuming the maximum discount rate of "&amp;Input!D4*10000%&amp;".0 percent"&amp;"."</f>
        <v>     The $1,859.66 minimum acceptable lump-sum payment is 92.98 percent of the remaining $2,000.00 annual payment stream, a discount of $140.34, assuming the maximum discount rate of 5.0 percent.</v>
      </c>
      <c r="C9" s="153"/>
      <c r="D9" s="161"/>
      <c r="E9" s="161"/>
      <c r="F9" s="161"/>
      <c r="G9" s="161"/>
      <c r="H9" s="161"/>
      <c r="I9" s="161"/>
    </row>
    <row r="10" spans="1:9" ht="12.75">
      <c r="A10" s="151"/>
      <c r="B10" s="179"/>
      <c r="C10" s="153"/>
      <c r="D10" s="161"/>
      <c r="E10" s="161"/>
      <c r="F10" s="161"/>
      <c r="G10" s="161"/>
      <c r="H10" s="161"/>
      <c r="I10" s="161"/>
    </row>
    <row r="11" spans="1:9" ht="30" customHeight="1" thickBot="1">
      <c r="A11" s="151"/>
      <c r="B11" s="180"/>
      <c r="C11" s="153"/>
      <c r="D11" s="161"/>
      <c r="E11" s="161"/>
      <c r="F11" s="161"/>
      <c r="G11" s="161"/>
      <c r="H11" s="161"/>
      <c r="I11" s="161"/>
    </row>
    <row r="12" spans="1:9" ht="13.5" thickBot="1">
      <c r="A12" s="151"/>
      <c r="B12" s="155"/>
      <c r="C12" s="153"/>
      <c r="D12" s="161"/>
      <c r="E12" s="161"/>
      <c r="F12" s="161"/>
      <c r="G12" s="161"/>
      <c r="H12" s="161"/>
      <c r="I12" s="161"/>
    </row>
    <row r="13" spans="1:9" ht="16.5" thickBot="1">
      <c r="A13" s="151"/>
      <c r="B13" s="152" t="s">
        <v>2</v>
      </c>
      <c r="C13" s="153"/>
      <c r="D13" s="161"/>
      <c r="E13" s="161"/>
      <c r="F13" s="161"/>
      <c r="G13" s="161"/>
      <c r="H13" s="161"/>
      <c r="I13" s="161"/>
    </row>
    <row r="14" spans="1:9" ht="12.75">
      <c r="A14" s="151"/>
      <c r="B14" s="178" t="str">
        <f>"     The "&amp;DOLLAR(Input!E7,2)&amp;" lump-sum offer"&amp;IF(math!J39="NO "," is not "," is ")&amp;"acceptable because the lump-sum offer "&amp;IF(math!J39="NO ","is less than ","is equal to or greater than ")&amp;"the "&amp;DOLLAR(ROUNDUP(math!J16,2),2)&amp;" minimum acceptable lump-sum payment."</f>
        <v>     The $1,860.00 lump-sum offer is acceptable because the lump-sum offer is equal to or greater than the $1,859.66 minimum acceptable lump-sum payment.</v>
      </c>
      <c r="C14" s="153"/>
      <c r="D14" s="161"/>
      <c r="E14" s="161"/>
      <c r="F14" s="161"/>
      <c r="G14" s="161"/>
      <c r="H14" s="161"/>
      <c r="I14" s="161"/>
    </row>
    <row r="15" spans="1:9" ht="18" customHeight="1">
      <c r="A15" s="151"/>
      <c r="B15" s="176"/>
      <c r="C15" s="153"/>
      <c r="D15" s="161"/>
      <c r="E15" s="161"/>
      <c r="F15" s="161"/>
      <c r="G15" s="161"/>
      <c r="H15" s="161"/>
      <c r="I15" s="161"/>
    </row>
    <row r="16" spans="1:9" ht="3" customHeight="1">
      <c r="A16" s="151"/>
      <c r="B16" s="154"/>
      <c r="C16" s="153"/>
      <c r="D16" s="161"/>
      <c r="E16" s="161"/>
      <c r="F16" s="161"/>
      <c r="G16" s="161"/>
      <c r="H16" s="161"/>
      <c r="I16" s="161"/>
    </row>
    <row r="17" spans="1:9" ht="12.75">
      <c r="A17" s="151"/>
      <c r="B17" s="176" t="str">
        <f>"     The "&amp;DOLLAR(Input!E7,2)&amp;" lump-sum offer is "&amp;ROUND(math!J36*100,2)&amp;" percent of the remaining "&amp;DOLLAR(math!I35,2)&amp;" annual payment stream, a cash discount of "&amp;DOLLAR(math!J37,2)&amp;",  "&amp;"or "&amp;ROUND(math!J38*100,2)&amp;" percent."</f>
        <v>     The $1,860.00 lump-sum offer is 93 percent of the remaining $2,000.00 annual payment stream, a cash discount of $140.00,  or 4.99 percent.</v>
      </c>
      <c r="C17" s="153"/>
      <c r="D17" s="161"/>
      <c r="E17" s="161"/>
      <c r="F17" s="161"/>
      <c r="G17" s="161"/>
      <c r="H17" s="161"/>
      <c r="I17" s="161"/>
    </row>
    <row r="18" spans="1:9" ht="21" customHeight="1">
      <c r="A18" s="151"/>
      <c r="B18" s="176"/>
      <c r="C18" s="153"/>
      <c r="D18" s="161"/>
      <c r="E18" s="161"/>
      <c r="F18" s="161"/>
      <c r="G18" s="161"/>
      <c r="H18" s="161"/>
      <c r="I18" s="161"/>
    </row>
    <row r="19" spans="1:9" ht="4.5" customHeight="1">
      <c r="A19" s="151"/>
      <c r="B19" s="154"/>
      <c r="C19" s="153"/>
      <c r="D19" s="161"/>
      <c r="E19" s="161"/>
      <c r="F19" s="161"/>
      <c r="G19" s="161"/>
      <c r="H19" s="161"/>
      <c r="I19" s="161"/>
    </row>
    <row r="20" spans="1:9" ht="19.5" customHeight="1">
      <c r="A20" s="151"/>
      <c r="B20" s="176" t="str">
        <f>"     The "&amp;DOLLAR(ROUNDUP(math!J16,2),2)&amp;" minimum acceptable lump-sum payment is "&amp;ROUND(math!J17*100,2)&amp;" percent of the remaining "&amp;DOLLAR(math!I16,2)&amp;" annual payment stream, a discount of "&amp;DOLLAR(math!J18,2)&amp;", assuming the maximum discount rate of "&amp;Input!D4*10000%&amp;".0 percent"&amp;"."</f>
        <v>     The $1,859.66 minimum acceptable lump-sum payment is 92.98 percent of the remaining $2,000.00 annual payment stream, a discount of $140.34, assuming the maximum discount rate of 5.0 percent.</v>
      </c>
      <c r="C20" s="153"/>
      <c r="D20" s="161"/>
      <c r="E20" s="161"/>
      <c r="F20" s="161"/>
      <c r="G20" s="161"/>
      <c r="H20" s="161"/>
      <c r="I20" s="161"/>
    </row>
    <row r="21" spans="1:9" ht="12.75">
      <c r="A21" s="151"/>
      <c r="B21" s="176"/>
      <c r="C21" s="153"/>
      <c r="D21" s="161"/>
      <c r="E21" s="161"/>
      <c r="F21" s="161"/>
      <c r="G21" s="161"/>
      <c r="H21" s="161"/>
      <c r="I21" s="161"/>
    </row>
    <row r="22" spans="1:9" ht="28.5" customHeight="1" thickBot="1">
      <c r="A22" s="151"/>
      <c r="B22" s="177"/>
      <c r="C22" s="153"/>
      <c r="D22" s="161"/>
      <c r="E22" s="161"/>
      <c r="F22" s="161"/>
      <c r="G22" s="161"/>
      <c r="H22" s="161"/>
      <c r="I22" s="161"/>
    </row>
    <row r="23" spans="1:9" ht="13.5" thickBot="1">
      <c r="A23" s="156"/>
      <c r="B23" s="157"/>
      <c r="C23" s="158"/>
      <c r="D23" s="161"/>
      <c r="E23" s="161"/>
      <c r="F23" s="161"/>
      <c r="G23" s="161"/>
      <c r="H23" s="161"/>
      <c r="I23" s="161"/>
    </row>
    <row r="24" spans="1:9" ht="13.5" thickTop="1">
      <c r="A24" s="161"/>
      <c r="B24" s="161"/>
      <c r="C24" s="161"/>
      <c r="D24" s="161"/>
      <c r="E24" s="161"/>
      <c r="F24" s="161"/>
      <c r="G24" s="161"/>
      <c r="H24" s="161"/>
      <c r="I24" s="161"/>
    </row>
    <row r="25" spans="1:9" ht="12.75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 ht="12.75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 ht="12.75">
      <c r="A27" s="161"/>
      <c r="B27" s="161"/>
      <c r="C27" s="161"/>
      <c r="D27" s="161"/>
      <c r="E27" s="161"/>
      <c r="F27" s="161"/>
      <c r="G27" s="161"/>
      <c r="H27" s="161"/>
      <c r="I27" s="161"/>
    </row>
    <row r="28" spans="1:9" ht="12.75">
      <c r="A28" s="161"/>
      <c r="B28" s="161"/>
      <c r="C28" s="161"/>
      <c r="D28" s="161"/>
      <c r="E28" s="161"/>
      <c r="F28" s="161"/>
      <c r="G28" s="161"/>
      <c r="H28" s="161"/>
      <c r="I28" s="161"/>
    </row>
    <row r="29" spans="1:9" ht="12.75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 ht="12.75">
      <c r="A30" s="161"/>
      <c r="B30" s="161"/>
      <c r="C30" s="161"/>
      <c r="D30" s="161"/>
      <c r="E30" s="161"/>
      <c r="F30" s="161"/>
      <c r="G30" s="161"/>
      <c r="H30" s="161"/>
      <c r="I30" s="161"/>
    </row>
  </sheetData>
  <sheetProtection/>
  <mergeCells count="6">
    <mergeCell ref="B17:B18"/>
    <mergeCell ref="B20:B22"/>
    <mergeCell ref="B3:B4"/>
    <mergeCell ref="B6:B7"/>
    <mergeCell ref="B9:B11"/>
    <mergeCell ref="B14:B15"/>
  </mergeCells>
  <printOptions/>
  <pageMargins left="0.55" right="0.59" top="1" bottom="1" header="0.5" footer="0.5"/>
  <pageSetup fitToHeight="1" fitToWidth="1" horizontalDpi="600" verticalDpi="600" orientation="landscape" r:id="rId1"/>
  <headerFooter alignWithMargins="0">
    <oddFooter>&amp;LUSDA/Farm Service Agency&amp;Cpage &amp;P of &amp;N&amp;RVersion 8 (January 12, 2011)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RowColHeaders="0" zoomScale="70" zoomScaleNormal="70" zoomScalePageLayoutView="0" workbookViewId="0" topLeftCell="A1">
      <selection activeCell="B13" sqref="B13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12.8515625" style="0" customWidth="1"/>
    <col min="4" max="5" width="20.7109375" style="0" customWidth="1"/>
    <col min="6" max="6" width="22.00390625" style="0" customWidth="1"/>
    <col min="7" max="7" width="23.8515625" style="0" bestFit="1" customWidth="1"/>
    <col min="8" max="9" width="20.7109375" style="0" customWidth="1"/>
    <col min="10" max="10" width="22.8515625" style="0" customWidth="1"/>
    <col min="11" max="11" width="4.00390625" style="0" customWidth="1"/>
  </cols>
  <sheetData>
    <row r="1" spans="1:11" ht="14.25" thickBot="1" thickTop="1">
      <c r="A1" s="1"/>
      <c r="B1" s="2"/>
      <c r="C1" s="2"/>
      <c r="D1" s="2"/>
      <c r="E1" s="27"/>
      <c r="F1" s="2"/>
      <c r="G1" s="2"/>
      <c r="H1" s="2"/>
      <c r="I1" s="2"/>
      <c r="J1" s="2"/>
      <c r="K1" s="3"/>
    </row>
    <row r="2" spans="1:11" ht="18">
      <c r="A2" s="4"/>
      <c r="B2" s="184" t="str">
        <f>"Minimum Acceptable Lump Sum At "&amp;Input!D4*100&amp;".0 Percent Discount"</f>
        <v>Minimum Acceptable Lump Sum At 5.0 Percent Discount</v>
      </c>
      <c r="C2" s="182"/>
      <c r="D2" s="185"/>
      <c r="E2" s="185"/>
      <c r="F2" s="185"/>
      <c r="G2" s="185"/>
      <c r="H2" s="185"/>
      <c r="I2" s="185"/>
      <c r="J2" s="186"/>
      <c r="K2" s="5"/>
    </row>
    <row r="3" spans="1:11" ht="15.75">
      <c r="A3" s="4"/>
      <c r="B3" s="193" t="str">
        <f>"Successor-In-Interest @"&amp;F19*100&amp;"% Maximum Discount"</f>
        <v>Successor-In-Interest @5% Maximum Discount</v>
      </c>
      <c r="C3" s="194"/>
      <c r="D3" s="194"/>
      <c r="E3" s="194"/>
      <c r="F3" s="195"/>
      <c r="G3" s="193" t="str">
        <f>"Assignment @"&amp;J19*100&amp;" % Maximum Discount"</f>
        <v>Assignment @5 % Maximum Discount</v>
      </c>
      <c r="H3" s="194"/>
      <c r="I3" s="194"/>
      <c r="J3" s="195"/>
      <c r="K3" s="5"/>
    </row>
    <row r="4" spans="1:11" ht="38.25">
      <c r="A4" s="4"/>
      <c r="B4" s="143" t="s">
        <v>16</v>
      </c>
      <c r="C4" s="28" t="s">
        <v>11</v>
      </c>
      <c r="D4" s="29" t="s">
        <v>12</v>
      </c>
      <c r="E4" s="29" t="s">
        <v>13</v>
      </c>
      <c r="F4" s="30" t="s">
        <v>14</v>
      </c>
      <c r="G4" s="142" t="s">
        <v>16</v>
      </c>
      <c r="H4" s="29" t="s">
        <v>12</v>
      </c>
      <c r="I4" s="29" t="s">
        <v>13</v>
      </c>
      <c r="J4" s="31" t="s">
        <v>14</v>
      </c>
      <c r="K4" s="5"/>
    </row>
    <row r="5" spans="1:11" ht="15.75">
      <c r="A5" s="4"/>
      <c r="B5" s="81"/>
      <c r="C5" s="82"/>
      <c r="D5" s="83"/>
      <c r="E5" s="84"/>
      <c r="F5" s="85"/>
      <c r="G5" s="81">
        <f>Input!E8</f>
        <v>40925</v>
      </c>
      <c r="H5" s="81"/>
      <c r="I5" s="84"/>
      <c r="J5" s="86"/>
      <c r="K5" s="5"/>
    </row>
    <row r="6" spans="1:11" ht="15.75">
      <c r="A6" s="4"/>
      <c r="B6" s="32">
        <v>38626</v>
      </c>
      <c r="C6" s="33">
        <v>1</v>
      </c>
      <c r="D6" s="34"/>
      <c r="E6" s="35"/>
      <c r="F6" s="36"/>
      <c r="G6" s="88">
        <f aca="true" t="shared" si="0" ref="G6:G15">B6</f>
        <v>38626</v>
      </c>
      <c r="H6" s="88"/>
      <c r="I6" s="35"/>
      <c r="J6" s="37"/>
      <c r="K6" s="5"/>
    </row>
    <row r="7" spans="1:11" ht="15.75">
      <c r="A7" s="4"/>
      <c r="B7" s="32">
        <v>38734</v>
      </c>
      <c r="C7" s="33">
        <v>2</v>
      </c>
      <c r="D7" s="38"/>
      <c r="E7" s="39"/>
      <c r="F7" s="40"/>
      <c r="G7" s="88">
        <f t="shared" si="0"/>
        <v>38734</v>
      </c>
      <c r="H7" s="88"/>
      <c r="I7" s="39"/>
      <c r="J7" s="41"/>
      <c r="K7" s="42"/>
    </row>
    <row r="8" spans="1:11" ht="15.75">
      <c r="A8" s="4"/>
      <c r="B8" s="32">
        <v>39098</v>
      </c>
      <c r="C8" s="33">
        <v>3</v>
      </c>
      <c r="D8" s="38"/>
      <c r="E8" s="39"/>
      <c r="F8" s="43"/>
      <c r="G8" s="88">
        <f t="shared" si="0"/>
        <v>39098</v>
      </c>
      <c r="H8" s="88"/>
      <c r="I8" s="39"/>
      <c r="J8" s="44"/>
      <c r="K8" s="5"/>
    </row>
    <row r="9" spans="1:11" ht="15.75">
      <c r="A9" s="4"/>
      <c r="B9" s="32">
        <v>39462</v>
      </c>
      <c r="C9" s="33">
        <v>4</v>
      </c>
      <c r="D9" s="38"/>
      <c r="E9" s="39"/>
      <c r="F9" s="43"/>
      <c r="G9" s="88">
        <f t="shared" si="0"/>
        <v>39462</v>
      </c>
      <c r="H9" s="88"/>
      <c r="I9" s="39"/>
      <c r="J9" s="44"/>
      <c r="K9" s="5"/>
    </row>
    <row r="10" spans="1:11" ht="15.75">
      <c r="A10" s="4"/>
      <c r="B10" s="32">
        <v>39828</v>
      </c>
      <c r="C10" s="33">
        <v>5</v>
      </c>
      <c r="D10" s="38"/>
      <c r="E10" s="39"/>
      <c r="F10" s="43"/>
      <c r="G10" s="88">
        <f t="shared" si="0"/>
        <v>39828</v>
      </c>
      <c r="H10" s="88"/>
      <c r="I10" s="39"/>
      <c r="J10" s="44"/>
      <c r="K10" s="5"/>
    </row>
    <row r="11" spans="1:11" ht="15.75">
      <c r="A11" s="4"/>
      <c r="B11" s="32">
        <v>40193</v>
      </c>
      <c r="C11" s="33">
        <v>6</v>
      </c>
      <c r="D11" s="38"/>
      <c r="E11" s="39"/>
      <c r="F11" s="43"/>
      <c r="G11" s="88">
        <f t="shared" si="0"/>
        <v>40193</v>
      </c>
      <c r="H11" s="88"/>
      <c r="I11" s="39"/>
      <c r="J11" s="44"/>
      <c r="K11" s="5"/>
    </row>
    <row r="12" spans="1:11" ht="15.75">
      <c r="A12" s="4"/>
      <c r="B12" s="32">
        <v>40561</v>
      </c>
      <c r="C12" s="33">
        <v>7</v>
      </c>
      <c r="D12" s="38"/>
      <c r="E12" s="39"/>
      <c r="F12" s="43"/>
      <c r="G12" s="88">
        <f t="shared" si="0"/>
        <v>40561</v>
      </c>
      <c r="H12" s="88"/>
      <c r="I12" s="39"/>
      <c r="J12" s="44"/>
      <c r="K12" s="5"/>
    </row>
    <row r="13" spans="1:11" ht="15.75">
      <c r="A13" s="4"/>
      <c r="B13" s="32">
        <v>40925</v>
      </c>
      <c r="C13" s="33">
        <v>8</v>
      </c>
      <c r="D13" s="38"/>
      <c r="E13" s="39"/>
      <c r="F13" s="43"/>
      <c r="G13" s="88">
        <f t="shared" si="0"/>
        <v>40925</v>
      </c>
      <c r="H13" s="88"/>
      <c r="I13" s="39"/>
      <c r="J13" s="44"/>
      <c r="K13" s="5"/>
    </row>
    <row r="14" spans="1:11" ht="15.75">
      <c r="A14" s="4"/>
      <c r="B14" s="32">
        <v>41289</v>
      </c>
      <c r="C14" s="33">
        <v>9</v>
      </c>
      <c r="D14" s="38" t="str">
        <f>IF(E14=0,"CCC","3rd Party")</f>
        <v>3rd Party</v>
      </c>
      <c r="E14" s="39">
        <f>IF(B14&gt;=Input!$D$10,Input!$D$6,0)</f>
        <v>1000</v>
      </c>
      <c r="F14" s="43">
        <f>$E14/(1+Input!$D$4)^(($B14-Input!$D$8)/365)</f>
        <v>952.5082672543937</v>
      </c>
      <c r="G14" s="88">
        <f t="shared" si="0"/>
        <v>41289</v>
      </c>
      <c r="H14" s="88" t="str">
        <f>IF(I14=0,"CCC","3rd Party")</f>
        <v>3rd Party</v>
      </c>
      <c r="I14" s="39">
        <f>IF(B14&gt;=Input!$E$10,Input!$E$6,0)</f>
        <v>1000</v>
      </c>
      <c r="J14" s="44">
        <f>$I14/(1+Input!$D$4)^(($B14-Input!$E$8)/365)</f>
        <v>952.5082672543937</v>
      </c>
      <c r="K14" s="5"/>
    </row>
    <row r="15" spans="1:11" ht="15.75">
      <c r="A15" s="4"/>
      <c r="B15" s="32">
        <v>41654</v>
      </c>
      <c r="C15" s="33">
        <v>10</v>
      </c>
      <c r="D15" s="38" t="str">
        <f>IF(E15=0,"CCC","3rd Party")</f>
        <v>3rd Party</v>
      </c>
      <c r="E15" s="39">
        <f>IF(B15&gt;=Input!$D$10,Input!$D$6,0)</f>
        <v>1000</v>
      </c>
      <c r="F15" s="46">
        <f>$E15/(1+Input!$D$4)^(($B15-Input!$D$8)/365)</f>
        <v>907.1507307184701</v>
      </c>
      <c r="G15" s="91">
        <f t="shared" si="0"/>
        <v>41654</v>
      </c>
      <c r="H15" s="91" t="str">
        <f>IF(I15=0,"CCC","3rd Party")</f>
        <v>3rd Party</v>
      </c>
      <c r="I15" s="45">
        <f>IF(B15&gt;=Input!$E$10,Input!$E$6,0)</f>
        <v>1000</v>
      </c>
      <c r="J15" s="48">
        <f>$I15/(1+Input!$D$4)^(($B15-Input!$E$8)/365)</f>
        <v>907.1507307184701</v>
      </c>
      <c r="K15" s="5"/>
    </row>
    <row r="16" spans="1:11" ht="15.75">
      <c r="A16" s="4"/>
      <c r="B16" s="49" t="s">
        <v>15</v>
      </c>
      <c r="C16" s="50"/>
      <c r="D16" s="51"/>
      <c r="E16" s="52">
        <f>SUM(E6:E15)</f>
        <v>2000</v>
      </c>
      <c r="F16" s="53">
        <f>SUM(F7:F15)</f>
        <v>1859.6589979728637</v>
      </c>
      <c r="G16" s="111"/>
      <c r="H16" s="141"/>
      <c r="I16" s="54">
        <f>SUM(I6:I15)</f>
        <v>2000</v>
      </c>
      <c r="J16" s="55">
        <f>SUM(J6:J15)</f>
        <v>1859.6589979728637</v>
      </c>
      <c r="K16" s="5"/>
    </row>
    <row r="17" spans="1:11" ht="18">
      <c r="A17" s="4"/>
      <c r="B17" s="132" t="s">
        <v>26</v>
      </c>
      <c r="C17" s="56"/>
      <c r="D17" s="57"/>
      <c r="E17" s="58"/>
      <c r="F17" s="59">
        <f>F16/$E$16</f>
        <v>0.9298294989864319</v>
      </c>
      <c r="G17" s="111"/>
      <c r="H17" s="60"/>
      <c r="I17" s="61"/>
      <c r="J17" s="62">
        <f>J16/$I$16</f>
        <v>0.9298294989864319</v>
      </c>
      <c r="K17" s="5"/>
    </row>
    <row r="18" spans="1:11" ht="15.75">
      <c r="A18" s="4"/>
      <c r="B18" s="63" t="s">
        <v>23</v>
      </c>
      <c r="C18" s="64"/>
      <c r="D18" s="64"/>
      <c r="E18" s="65"/>
      <c r="F18" s="66">
        <f>+E16-F16</f>
        <v>140.34100202713626</v>
      </c>
      <c r="G18" s="137"/>
      <c r="H18" s="67"/>
      <c r="I18" s="68"/>
      <c r="J18" s="69">
        <f>+I16-J16</f>
        <v>140.34100202713626</v>
      </c>
      <c r="K18" s="5"/>
    </row>
    <row r="19" spans="1:11" ht="16.5" thickBot="1">
      <c r="A19" s="4"/>
      <c r="B19" s="70" t="s">
        <v>25</v>
      </c>
      <c r="C19" s="71"/>
      <c r="D19" s="71"/>
      <c r="E19" s="72"/>
      <c r="F19" s="73">
        <f>+Input!D4</f>
        <v>0.05</v>
      </c>
      <c r="G19" s="138"/>
      <c r="H19" s="74"/>
      <c r="I19" s="75"/>
      <c r="J19" s="76">
        <f>+Input!D4</f>
        <v>0.05</v>
      </c>
      <c r="K19" s="5"/>
    </row>
    <row r="20" spans="1:11" ht="13.5" thickBot="1">
      <c r="A20" s="4"/>
      <c r="B20" s="25"/>
      <c r="C20" s="25"/>
      <c r="D20" s="25"/>
      <c r="E20" s="77"/>
      <c r="F20" s="25"/>
      <c r="G20" s="25"/>
      <c r="H20" s="78"/>
      <c r="I20" s="25"/>
      <c r="J20" s="25"/>
      <c r="K20" s="5"/>
    </row>
    <row r="21" spans="1:11" ht="18">
      <c r="A21" s="4"/>
      <c r="B21" s="181" t="str">
        <f>"Computation for Lump Sum Offer"</f>
        <v>Computation for Lump Sum Offer</v>
      </c>
      <c r="C21" s="182"/>
      <c r="D21" s="182"/>
      <c r="E21" s="182"/>
      <c r="F21" s="182"/>
      <c r="G21" s="182"/>
      <c r="H21" s="182"/>
      <c r="I21" s="182"/>
      <c r="J21" s="183"/>
      <c r="K21" s="5"/>
    </row>
    <row r="22" spans="1:11" ht="18" customHeight="1">
      <c r="A22" s="4"/>
      <c r="B22" s="187" t="str">
        <f>"Successor-in-Interest Offer = "&amp;ROUND(F38*100,2)&amp;" % Discount Rate"</f>
        <v>Successor-in-Interest Offer = 4.99 % Discount Rate</v>
      </c>
      <c r="C22" s="188"/>
      <c r="D22" s="188"/>
      <c r="E22" s="188"/>
      <c r="F22" s="189"/>
      <c r="G22" s="190" t="str">
        <f>"Assignment Offer = "&amp;ROUND(J38*100,2)&amp;" % Discount Rate"</f>
        <v>Assignment Offer = 4.99 % Discount Rate</v>
      </c>
      <c r="H22" s="191"/>
      <c r="I22" s="191"/>
      <c r="J22" s="192"/>
      <c r="K22" s="5"/>
    </row>
    <row r="23" spans="1:11" ht="38.25">
      <c r="A23" s="4"/>
      <c r="B23" s="142" t="s">
        <v>16</v>
      </c>
      <c r="C23" s="79" t="s">
        <v>11</v>
      </c>
      <c r="D23" s="29" t="s">
        <v>12</v>
      </c>
      <c r="E23" s="80" t="s">
        <v>13</v>
      </c>
      <c r="F23" s="140" t="s">
        <v>17</v>
      </c>
      <c r="G23" s="142" t="s">
        <v>16</v>
      </c>
      <c r="H23" s="28" t="s">
        <v>12</v>
      </c>
      <c r="I23" s="29" t="s">
        <v>13</v>
      </c>
      <c r="J23" s="31" t="s">
        <v>17</v>
      </c>
      <c r="K23" s="5"/>
    </row>
    <row r="24" spans="1:11" ht="15.75">
      <c r="A24" s="4"/>
      <c r="B24" s="81">
        <f>+Input!D8</f>
        <v>40925</v>
      </c>
      <c r="C24" s="82" t="s">
        <v>18</v>
      </c>
      <c r="D24" s="83" t="s">
        <v>19</v>
      </c>
      <c r="E24" s="84">
        <f>-Input!D7</f>
        <v>-1860</v>
      </c>
      <c r="F24" s="136"/>
      <c r="G24" s="81">
        <f>G5</f>
        <v>40925</v>
      </c>
      <c r="H24" s="81"/>
      <c r="I24" s="84">
        <f>-Input!E7</f>
        <v>-1860</v>
      </c>
      <c r="J24" s="86"/>
      <c r="K24" s="87"/>
    </row>
    <row r="25" spans="1:11" ht="15.75">
      <c r="A25" s="4"/>
      <c r="B25" s="32">
        <v>38626</v>
      </c>
      <c r="C25" s="33">
        <v>1</v>
      </c>
      <c r="D25" s="34"/>
      <c r="E25" s="35"/>
      <c r="F25" s="89"/>
      <c r="G25" s="88">
        <f aca="true" t="shared" si="1" ref="G25:G34">G6</f>
        <v>38626</v>
      </c>
      <c r="H25" s="88"/>
      <c r="I25" s="35"/>
      <c r="J25" s="37"/>
      <c r="K25" s="87"/>
    </row>
    <row r="26" spans="1:11" ht="15.75">
      <c r="A26" s="4"/>
      <c r="B26" s="88">
        <f aca="true" t="shared" si="2" ref="B26:B34">+B7</f>
        <v>38734</v>
      </c>
      <c r="C26" s="33">
        <v>2</v>
      </c>
      <c r="D26" s="38"/>
      <c r="E26" s="39"/>
      <c r="F26" s="90"/>
      <c r="G26" s="88">
        <f t="shared" si="1"/>
        <v>38734</v>
      </c>
      <c r="H26" s="88"/>
      <c r="I26" s="39"/>
      <c r="J26" s="41"/>
      <c r="K26" s="87"/>
    </row>
    <row r="27" spans="1:11" ht="15.75">
      <c r="A27" s="4"/>
      <c r="B27" s="88">
        <f t="shared" si="2"/>
        <v>39098</v>
      </c>
      <c r="C27" s="33">
        <v>3</v>
      </c>
      <c r="D27" s="38"/>
      <c r="E27" s="39"/>
      <c r="F27" s="90"/>
      <c r="G27" s="88">
        <f t="shared" si="1"/>
        <v>39098</v>
      </c>
      <c r="H27" s="88"/>
      <c r="I27" s="39"/>
      <c r="J27" s="44"/>
      <c r="K27" s="87"/>
    </row>
    <row r="28" spans="1:11" ht="15.75">
      <c r="A28" s="4"/>
      <c r="B28" s="88">
        <f t="shared" si="2"/>
        <v>39462</v>
      </c>
      <c r="C28" s="33">
        <v>4</v>
      </c>
      <c r="D28" s="38"/>
      <c r="E28" s="39"/>
      <c r="F28" s="90"/>
      <c r="G28" s="88">
        <f t="shared" si="1"/>
        <v>39462</v>
      </c>
      <c r="H28" s="88"/>
      <c r="I28" s="39"/>
      <c r="J28" s="44"/>
      <c r="K28" s="87"/>
    </row>
    <row r="29" spans="1:11" ht="15.75">
      <c r="A29" s="4"/>
      <c r="B29" s="88">
        <f t="shared" si="2"/>
        <v>39828</v>
      </c>
      <c r="C29" s="33">
        <v>5</v>
      </c>
      <c r="D29" s="38"/>
      <c r="E29" s="39"/>
      <c r="F29" s="90"/>
      <c r="G29" s="88">
        <f t="shared" si="1"/>
        <v>39828</v>
      </c>
      <c r="H29" s="88"/>
      <c r="I29" s="39"/>
      <c r="J29" s="44"/>
      <c r="K29" s="87"/>
    </row>
    <row r="30" spans="1:11" ht="15.75">
      <c r="A30" s="4"/>
      <c r="B30" s="88">
        <f t="shared" si="2"/>
        <v>40193</v>
      </c>
      <c r="C30" s="33">
        <v>6</v>
      </c>
      <c r="D30" s="38"/>
      <c r="E30" s="39"/>
      <c r="F30" s="90"/>
      <c r="G30" s="88">
        <f t="shared" si="1"/>
        <v>40193</v>
      </c>
      <c r="H30" s="88"/>
      <c r="I30" s="39"/>
      <c r="J30" s="44"/>
      <c r="K30" s="87"/>
    </row>
    <row r="31" spans="1:11" ht="15.75">
      <c r="A31" s="4"/>
      <c r="B31" s="88">
        <f t="shared" si="2"/>
        <v>40561</v>
      </c>
      <c r="C31" s="33">
        <v>7</v>
      </c>
      <c r="D31" s="38"/>
      <c r="E31" s="39"/>
      <c r="F31" s="90"/>
      <c r="G31" s="88">
        <f t="shared" si="1"/>
        <v>40561</v>
      </c>
      <c r="H31" s="88"/>
      <c r="I31" s="39"/>
      <c r="J31" s="44"/>
      <c r="K31" s="87"/>
    </row>
    <row r="32" spans="1:11" ht="15.75">
      <c r="A32" s="4"/>
      <c r="B32" s="88">
        <f t="shared" si="2"/>
        <v>40925</v>
      </c>
      <c r="C32" s="33">
        <v>8</v>
      </c>
      <c r="D32" s="38"/>
      <c r="E32" s="39"/>
      <c r="F32" s="90"/>
      <c r="G32" s="88">
        <f t="shared" si="1"/>
        <v>40925</v>
      </c>
      <c r="H32" s="88"/>
      <c r="I32" s="39"/>
      <c r="J32" s="44"/>
      <c r="K32" s="87"/>
    </row>
    <row r="33" spans="1:11" ht="15.75">
      <c r="A33" s="4"/>
      <c r="B33" s="88">
        <f t="shared" si="2"/>
        <v>41289</v>
      </c>
      <c r="C33" s="33">
        <v>9</v>
      </c>
      <c r="D33" s="38" t="str">
        <f>IF(E33=0,"CCC","3rd Party")</f>
        <v>3rd Party</v>
      </c>
      <c r="E33" s="39">
        <f>+E14</f>
        <v>1000</v>
      </c>
      <c r="F33" s="90">
        <f>E14/(1+$F$38)^((B33-$B$24)/365)</f>
        <v>952.6255507641129</v>
      </c>
      <c r="G33" s="88">
        <f t="shared" si="1"/>
        <v>41289</v>
      </c>
      <c r="H33" s="88" t="str">
        <f>IF(I33=0,"CCC","3rd Party")</f>
        <v>3rd Party</v>
      </c>
      <c r="I33" s="39">
        <f>+I14</f>
        <v>1000</v>
      </c>
      <c r="J33" s="44">
        <f>I14/(1+$J$38)^((B33-Input!$E$8)/365)</f>
        <v>952.6255507641129</v>
      </c>
      <c r="K33" s="87"/>
    </row>
    <row r="34" spans="1:11" ht="15.75">
      <c r="A34" s="4"/>
      <c r="B34" s="91">
        <f t="shared" si="2"/>
        <v>41654</v>
      </c>
      <c r="C34" s="33">
        <v>10</v>
      </c>
      <c r="D34" s="47" t="str">
        <f>IF(E34=0,"CCC","3rd Party")</f>
        <v>3rd Party</v>
      </c>
      <c r="E34" s="45">
        <f>+E15</f>
        <v>1000</v>
      </c>
      <c r="F34" s="92">
        <f>E15/(1+$F$38)^((B34-$B$24)/365)</f>
        <v>907.3744485543862</v>
      </c>
      <c r="G34" s="91">
        <f t="shared" si="1"/>
        <v>41654</v>
      </c>
      <c r="H34" s="91" t="str">
        <f>IF(I34=0,"CCC","3rd Party")</f>
        <v>3rd Party</v>
      </c>
      <c r="I34" s="45">
        <f>+I15</f>
        <v>1000</v>
      </c>
      <c r="J34" s="48">
        <f>I15/(1+$J$38)^((B34-Input!$E$8)/365)</f>
        <v>907.3744485543862</v>
      </c>
      <c r="K34" s="87"/>
    </row>
    <row r="35" spans="1:11" ht="15.75">
      <c r="A35" s="4"/>
      <c r="B35" s="93" t="s">
        <v>20</v>
      </c>
      <c r="C35" s="94"/>
      <c r="D35" s="64"/>
      <c r="E35" s="95">
        <f>SUM(E26:E34)</f>
        <v>2000</v>
      </c>
      <c r="F35" s="96">
        <f>SUM(F26:F34)</f>
        <v>1859.999999318499</v>
      </c>
      <c r="G35" s="111"/>
      <c r="H35" s="141"/>
      <c r="I35" s="95">
        <f>SUM(I25:I34)</f>
        <v>2000</v>
      </c>
      <c r="J35" s="97">
        <f>SUM(J24:J34)</f>
        <v>1859.999999318499</v>
      </c>
      <c r="K35" s="5"/>
    </row>
    <row r="36" spans="1:11" ht="15.75">
      <c r="A36" s="4"/>
      <c r="B36" s="132" t="s">
        <v>26</v>
      </c>
      <c r="C36" s="94"/>
      <c r="D36" s="98"/>
      <c r="E36" s="99"/>
      <c r="F36" s="100">
        <f>+F35/E35</f>
        <v>0.9299999996592495</v>
      </c>
      <c r="G36" s="111"/>
      <c r="H36" s="67"/>
      <c r="I36" s="101"/>
      <c r="J36" s="102">
        <f>+J35/I35</f>
        <v>0.9299999996592495</v>
      </c>
      <c r="K36" s="5"/>
    </row>
    <row r="37" spans="1:11" ht="15.75">
      <c r="A37" s="4"/>
      <c r="B37" s="103" t="s">
        <v>24</v>
      </c>
      <c r="C37" s="104"/>
      <c r="D37" s="105"/>
      <c r="E37" s="65"/>
      <c r="F37" s="106">
        <f>+E35-F35</f>
        <v>140.00000068150098</v>
      </c>
      <c r="G37" s="137"/>
      <c r="H37" s="67"/>
      <c r="I37" s="107"/>
      <c r="J37" s="108">
        <f>+I35-J35</f>
        <v>140.00000068150098</v>
      </c>
      <c r="K37" s="5"/>
    </row>
    <row r="38" spans="1:11" ht="15.75">
      <c r="A38" s="4"/>
      <c r="B38" s="109" t="s">
        <v>21</v>
      </c>
      <c r="C38" s="104"/>
      <c r="D38" s="110"/>
      <c r="E38" s="65"/>
      <c r="F38" s="111">
        <f>XIRR(E24:E34,$B24:$B34,0.06)</f>
        <v>0.04987037301063538</v>
      </c>
      <c r="G38" s="138"/>
      <c r="H38" s="67"/>
      <c r="I38" s="112"/>
      <c r="J38" s="113">
        <f>XIRR(I24:I34,$G24:$G34,0.06)</f>
        <v>0.04987037301063538</v>
      </c>
      <c r="K38" s="5"/>
    </row>
    <row r="39" spans="1:11" ht="16.5" thickBot="1">
      <c r="A39" s="4"/>
      <c r="B39" s="114" t="s">
        <v>22</v>
      </c>
      <c r="C39" s="115"/>
      <c r="D39" s="71"/>
      <c r="E39" s="72"/>
      <c r="F39" s="116" t="str">
        <f>IF(F16&lt;Input!D7,"YES ","NO ")</f>
        <v>YES </v>
      </c>
      <c r="G39" s="139"/>
      <c r="H39" s="74"/>
      <c r="I39" s="75"/>
      <c r="J39" s="116" t="str">
        <f>IF(J16&lt;Input!E7,"YES ","NO ")</f>
        <v>YES </v>
      </c>
      <c r="K39" s="5"/>
    </row>
    <row r="40" spans="1:11" ht="12.75">
      <c r="A40" s="4"/>
      <c r="B40" s="25"/>
      <c r="C40" s="25"/>
      <c r="D40" s="25"/>
      <c r="E40" s="77"/>
      <c r="F40" s="25"/>
      <c r="G40" s="25"/>
      <c r="H40" s="25"/>
      <c r="I40" s="25"/>
      <c r="J40" s="25"/>
      <c r="K40" s="5"/>
    </row>
    <row r="41" spans="1:11" ht="13.5" thickBot="1">
      <c r="A41" s="23"/>
      <c r="B41" s="26"/>
      <c r="C41" s="26"/>
      <c r="D41" s="26"/>
      <c r="E41" s="117"/>
      <c r="F41" s="26"/>
      <c r="G41" s="26"/>
      <c r="H41" s="26"/>
      <c r="I41" s="26"/>
      <c r="J41" s="26"/>
      <c r="K41" s="24"/>
    </row>
    <row r="42" ht="13.5" thickTop="1"/>
  </sheetData>
  <sheetProtection selectLockedCells="1" selectUnlockedCells="1"/>
  <mergeCells count="6">
    <mergeCell ref="B21:J21"/>
    <mergeCell ref="B2:J2"/>
    <mergeCell ref="B22:F22"/>
    <mergeCell ref="G22:J22"/>
    <mergeCell ref="B3:F3"/>
    <mergeCell ref="G3:J3"/>
  </mergeCells>
  <conditionalFormatting sqref="F39:G39 J39">
    <cfRule type="cellIs" priority="1" dxfId="1" operator="equal" stopIfTrue="1">
      <formula>"YES "</formula>
    </cfRule>
    <cfRule type="cellIs" priority="2" dxfId="0" operator="equal" stopIfTrue="1">
      <formula>"NO "</formula>
    </cfRule>
  </conditionalFormatting>
  <printOptions/>
  <pageMargins left="0.55" right="0.59" top="1" bottom="1" header="0.5" footer="0.5"/>
  <pageSetup fitToHeight="1" fitToWidth="1" horizontalDpi="600" verticalDpi="600" orientation="landscape" scale="65" r:id="rId1"/>
  <headerFooter alignWithMargins="0">
    <oddFooter>&amp;LUSDA/Farm Service Agency&amp;Cpage &amp;P of &amp;N&amp;RVersion 8 (January 12, 2011)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Karmen</dc:creator>
  <cp:keywords/>
  <dc:description/>
  <cp:lastModifiedBy>kelly.hereth</cp:lastModifiedBy>
  <cp:lastPrinted>2011-01-12T13:26:41Z</cp:lastPrinted>
  <dcterms:created xsi:type="dcterms:W3CDTF">2005-05-11T12:14:24Z</dcterms:created>
  <dcterms:modified xsi:type="dcterms:W3CDTF">2012-01-11T21:58:34Z</dcterms:modified>
  <cp:category/>
  <cp:version/>
  <cp:contentType/>
  <cp:contentStatus/>
</cp:coreProperties>
</file>